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olkersrV2/Documents/FERWebSite2010/-NewWebsite/_pecourse/2A10_Mechanism/"/>
    </mc:Choice>
  </mc:AlternateContent>
  <xr:revisionPtr revIDLastSave="0" documentId="13_ncr:1_{AA349464-49C2-CC47-A5BE-5EED6BB1067F}" xr6:coauthVersionLast="36" xr6:coauthVersionMax="36" xr10:uidLastSave="{00000000-0000-0000-0000-000000000000}"/>
  <bookViews>
    <workbookView xWindow="720" yWindow="1680" windowWidth="45700" windowHeight="25180" tabRatio="500" xr2:uid="{00000000-000D-0000-FFFF-FFFF00000000}"/>
  </bookViews>
  <sheets>
    <sheet name="Transmission Ratio" sheetId="3" r:id="rId1"/>
  </sheets>
  <definedNames>
    <definedName name="D_shaft">'Transmission Ratio'!$P$12</definedName>
    <definedName name="Diam_shaft">'Transmission Ratio'!$E$36</definedName>
    <definedName name="M_hang">'Transmission Ratio'!$L$12</definedName>
    <definedName name="Mass">'Transmission Ratio'!$E$34</definedName>
    <definedName name="Omega_free">'Transmission Ratio'!$E$29</definedName>
    <definedName name="Omega_radpsec">'Transmission Ratio'!$N$12</definedName>
    <definedName name="Rotor_Asurf">'Transmission Ratio'!$E$27</definedName>
    <definedName name="Rotor_Dout">'Transmission Ratio'!$E$24</definedName>
    <definedName name="Rotor_Lcrit">'Transmission Ratio'!$E$26</definedName>
    <definedName name="Torque_Shaft">'Transmission Ratio'!$Q$12</definedName>
    <definedName name="Unit_power">'Transmission Ratio'!$E$28</definedName>
    <definedName name="V_lift">'Transmission Ratio'!$M$12</definedName>
    <definedName name="Vel_vert">'Transmission Ratio'!$E$35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3" l="1"/>
  <c r="O13" i="3"/>
  <c r="O14" i="3"/>
  <c r="O11" i="3"/>
  <c r="E27" i="3" l="1"/>
  <c r="E30" i="3" s="1"/>
  <c r="E38" i="3"/>
  <c r="E37" i="3"/>
  <c r="N11" i="3"/>
  <c r="S14" i="3"/>
  <c r="S13" i="3"/>
  <c r="S12" i="3"/>
  <c r="Q14" i="3"/>
  <c r="Q13" i="3"/>
  <c r="Q12" i="3"/>
  <c r="N12" i="3"/>
  <c r="N13" i="3"/>
  <c r="N14" i="3"/>
  <c r="N10" i="3"/>
  <c r="E26" i="3"/>
  <c r="E24" i="3"/>
  <c r="R13" i="3" l="1"/>
  <c r="R14" i="3"/>
  <c r="R12" i="3"/>
  <c r="E31" i="3"/>
  <c r="E14" i="3"/>
  <c r="E20" i="3"/>
</calcChain>
</file>

<file path=xl/sharedStrings.xml><?xml version="1.0" encoding="utf-8"?>
<sst xmlns="http://schemas.openxmlformats.org/spreadsheetml/2006/main" count="108" uniqueCount="79">
  <si>
    <t>Author: Folkers Rojas</t>
  </si>
  <si>
    <t>Description</t>
  </si>
  <si>
    <t>Value</t>
  </si>
  <si>
    <t>Unit</t>
  </si>
  <si>
    <t>Parameters</t>
  </si>
  <si>
    <t>Metric Values</t>
  </si>
  <si>
    <t>Fill IN</t>
  </si>
  <si>
    <t>Results</t>
  </si>
  <si>
    <t>Drop Down Select</t>
  </si>
  <si>
    <t xml:space="preserve">Source: </t>
  </si>
  <si>
    <t>Date: 20200803 updated</t>
  </si>
  <si>
    <t>Measured Transmission Ratio (Driving/Driven)</t>
  </si>
  <si>
    <t>Transmission Ratio</t>
  </si>
  <si>
    <t xml:space="preserve">Helical Gear </t>
  </si>
  <si>
    <t>Driving Gear Diameter</t>
  </si>
  <si>
    <t>mm</t>
  </si>
  <si>
    <t>Driven Gear Diameter</t>
  </si>
  <si>
    <t>Gear Ratio per Helical Gear analysis</t>
  </si>
  <si>
    <t>Driving Gear lead</t>
  </si>
  <si>
    <t>Transmission Ratio per Worm gear</t>
  </si>
  <si>
    <t>Worm Gear Calculation</t>
  </si>
  <si>
    <t>0) Rolling contact</t>
  </si>
  <si>
    <t>1) Worm gears are sliding contact and can transmit more axial loads</t>
  </si>
  <si>
    <t>Rotor Geometry</t>
  </si>
  <si>
    <t>Outer Diameter of Rotor</t>
  </si>
  <si>
    <t>Length of Rotor Engagement</t>
  </si>
  <si>
    <t>W</t>
  </si>
  <si>
    <t>m</t>
  </si>
  <si>
    <t>Raising Mass</t>
  </si>
  <si>
    <t>Mass</t>
  </si>
  <si>
    <t>kg</t>
  </si>
  <si>
    <t>Velocity of Mass raising</t>
  </si>
  <si>
    <t>m/sec</t>
  </si>
  <si>
    <t>Power</t>
  </si>
  <si>
    <t>Power to Raise mass</t>
  </si>
  <si>
    <t>Diameter of Shaft</t>
  </si>
  <si>
    <t>Torque on shaft</t>
  </si>
  <si>
    <t>N*m</t>
  </si>
  <si>
    <t>rad/sec</t>
  </si>
  <si>
    <t>Watts</t>
  </si>
  <si>
    <t>rpm</t>
  </si>
  <si>
    <t>Buddha</t>
  </si>
  <si>
    <t>One Mass</t>
  </si>
  <si>
    <t>Specified power of Unit</t>
  </si>
  <si>
    <t>Two Mass</t>
  </si>
  <si>
    <t>Vertical Linear Velocity</t>
  </si>
  <si>
    <t>m/s</t>
  </si>
  <si>
    <t>Setting</t>
  </si>
  <si>
    <t>1 - Low Speed</t>
  </si>
  <si>
    <t>-</t>
  </si>
  <si>
    <t>Mass Hanging</t>
  </si>
  <si>
    <t>5 - Turbo</t>
  </si>
  <si>
    <t>Omega Calculated</t>
  </si>
  <si>
    <t>Torque on Shaft</t>
  </si>
  <si>
    <t>Measured</t>
  </si>
  <si>
    <t>V_lift</t>
  </si>
  <si>
    <t>D_shaft</t>
  </si>
  <si>
    <t>Omega_radpsec</t>
  </si>
  <si>
    <t>M_hang</t>
  </si>
  <si>
    <t>Torque_shaft</t>
  </si>
  <si>
    <t>Power_1</t>
  </si>
  <si>
    <t>Eq: V_lift*2/D_shaft</t>
  </si>
  <si>
    <t>Eq: M_hang*9.8*D_shaft/2</t>
  </si>
  <si>
    <t>Eq: Torque_Shaft*Omega_radpsec</t>
  </si>
  <si>
    <t>Power_2</t>
  </si>
  <si>
    <t>Eq: m*g*V_lift</t>
  </si>
  <si>
    <t>770 rpm</t>
  </si>
  <si>
    <t>1150 rpm</t>
  </si>
  <si>
    <t xml:space="preserve">Video Mac Process </t>
  </si>
  <si>
    <t>Tachometer</t>
  </si>
  <si>
    <t>Rotor Surface Area</t>
  </si>
  <si>
    <t>m^2</t>
  </si>
  <si>
    <t>N/mm^2</t>
  </si>
  <si>
    <t>N/m^2</t>
  </si>
  <si>
    <t>Title: Transmission of gear &amp; motor power</t>
  </si>
  <si>
    <t>Free Spin Angular Velocity (ω)</t>
  </si>
  <si>
    <t>Rev per Min Equivalent</t>
  </si>
  <si>
    <t>MIT 6.685 Class Chap 1</t>
  </si>
  <si>
    <t>Average Air Gap Shear 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</si>
</sst>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0000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4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/>
    <xf numFmtId="0" fontId="0" fillId="5" borderId="1" xfId="0" applyFill="1" applyBorder="1"/>
    <xf numFmtId="0" fontId="0" fillId="2" borderId="2" xfId="0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0" fillId="2" borderId="8" xfId="0" applyFill="1" applyBorder="1"/>
    <xf numFmtId="0" fontId="2" fillId="2" borderId="7" xfId="0" applyFont="1" applyFill="1" applyBorder="1"/>
    <xf numFmtId="165" fontId="0" fillId="4" borderId="1" xfId="0" applyNumberFormat="1" applyFill="1" applyBorder="1"/>
    <xf numFmtId="0" fontId="2" fillId="2" borderId="2" xfId="0" applyFont="1" applyFill="1" applyBorder="1"/>
    <xf numFmtId="0" fontId="2" fillId="2" borderId="4" xfId="0" applyFont="1" applyFill="1" applyBorder="1"/>
    <xf numFmtId="164" fontId="0" fillId="2" borderId="1" xfId="0" applyNumberFormat="1" applyFill="1" applyBorder="1"/>
    <xf numFmtId="2" fontId="0" fillId="4" borderId="1" xfId="0" applyNumberFormat="1" applyFill="1" applyBorder="1"/>
    <xf numFmtId="165" fontId="5" fillId="2" borderId="1" xfId="0" applyNumberFormat="1" applyFont="1" applyFill="1" applyBorder="1"/>
    <xf numFmtId="0" fontId="5" fillId="2" borderId="0" xfId="0" applyFont="1" applyFill="1"/>
    <xf numFmtId="164" fontId="0" fillId="4" borderId="1" xfId="0" applyNumberFormat="1" applyFill="1" applyBorder="1"/>
    <xf numFmtId="166" fontId="0" fillId="4" borderId="1" xfId="0" applyNumberFormat="1" applyFill="1" applyBorder="1"/>
    <xf numFmtId="11" fontId="0" fillId="2" borderId="1" xfId="0" applyNumberFormat="1" applyFill="1" applyBorder="1"/>
    <xf numFmtId="2" fontId="0" fillId="2" borderId="1" xfId="0" applyNumberFormat="1" applyFill="1" applyBorder="1"/>
    <xf numFmtId="164" fontId="5" fillId="2" borderId="1" xfId="0" applyNumberFormat="1" applyFont="1" applyFill="1" applyBorder="1"/>
    <xf numFmtId="167" fontId="0" fillId="2" borderId="1" xfId="0" applyNumberFormat="1" applyFill="1" applyBorder="1"/>
    <xf numFmtId="164" fontId="0" fillId="2" borderId="0" xfId="0" applyNumberFormat="1" applyFill="1"/>
    <xf numFmtId="0" fontId="2" fillId="2" borderId="1" xfId="0" applyFont="1" applyFill="1" applyBorder="1"/>
    <xf numFmtId="0" fontId="5" fillId="2" borderId="1" xfId="0" applyFont="1" applyFill="1" applyBorder="1"/>
    <xf numFmtId="11" fontId="5" fillId="2" borderId="1" xfId="0" applyNumberFormat="1" applyFont="1" applyFill="1" applyBorder="1"/>
    <xf numFmtId="0" fontId="2" fillId="2" borderId="8" xfId="0" applyFont="1" applyFill="1" applyBorder="1"/>
    <xf numFmtId="0" fontId="3" fillId="2" borderId="1" xfId="5" applyFill="1" applyBorder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4" xfId="0" applyFon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45145406416024"/>
          <c:y val="6.3143538941419233E-2"/>
          <c:w val="0.78533211319591512"/>
          <c:h val="0.725746969187031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'Transmission Ratio'!$Q$7</c:f>
              <c:strCache>
                <c:ptCount val="1"/>
                <c:pt idx="0">
                  <c:v>Torque on Shaft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'Transmission Ratio'!$Q$11:$Q$14</c:f>
              <c:numCache>
                <c:formatCode>0.00E+00</c:formatCode>
                <c:ptCount val="4"/>
                <c:pt idx="0" formatCode="General">
                  <c:v>0</c:v>
                </c:pt>
                <c:pt idx="1">
                  <c:v>4.6305000000000001E-3</c:v>
                </c:pt>
                <c:pt idx="2">
                  <c:v>3.1090500000000004E-2</c:v>
                </c:pt>
                <c:pt idx="3">
                  <c:v>5.6492099999999996E-2</c:v>
                </c:pt>
              </c:numCache>
            </c:numRef>
          </c:xVal>
          <c:yVal>
            <c:numRef>
              <c:f>'Transmission Ratio'!$O$11:$O$14</c:f>
              <c:numCache>
                <c:formatCode>0.00</c:formatCode>
                <c:ptCount val="4"/>
                <c:pt idx="0">
                  <c:v>770.00000000000011</c:v>
                </c:pt>
                <c:pt idx="1">
                  <c:v>710.89207914379926</c:v>
                </c:pt>
                <c:pt idx="2">
                  <c:v>654.3036549333475</c:v>
                </c:pt>
                <c:pt idx="3">
                  <c:v>597.71523072289585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E7-8142-9C12-75AE2FD9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345776"/>
        <c:axId val="840347456"/>
      </c:scatterChart>
      <c:valAx>
        <c:axId val="84034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Torque on Shaft [Nm]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347456"/>
        <c:crosses val="autoZero"/>
        <c:crossBetween val="midCat"/>
      </c:valAx>
      <c:valAx>
        <c:axId val="840347456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Rotational Speed [rev/min] </a:t>
                </a:r>
              </a:p>
            </c:rich>
          </c:tx>
          <c:layout>
            <c:manualLayout>
              <c:xMode val="edge"/>
              <c:yMode val="edge"/>
              <c:x val="7.8602282687167558E-3"/>
              <c:y val="8.700411513647737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345776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2106085</xdr:colOff>
      <xdr:row>23</xdr:row>
      <xdr:rowOff>41274</xdr:rowOff>
    </xdr:from>
    <xdr:to>
      <xdr:col>14</xdr:col>
      <xdr:colOff>84667</xdr:colOff>
      <xdr:row>44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257834-018F-324B-AE58-386F83B02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eb.mit.edu/course/6/6.685/www/chapter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7775-94AA-8444-9DC1-9234C03B008E}">
  <dimension ref="A1:S49"/>
  <sheetViews>
    <sheetView tabSelected="1" zoomScale="120" zoomScaleNormal="120" zoomScalePageLayoutView="150" workbookViewId="0">
      <selection activeCell="G49" sqref="G49"/>
    </sheetView>
  </sheetViews>
  <sheetFormatPr baseColWidth="10" defaultRowHeight="16" x14ac:dyDescent="0.2"/>
  <cols>
    <col min="1" max="1" width="10.5" style="1" customWidth="1"/>
    <col min="2" max="2" width="10.83203125" style="1"/>
    <col min="3" max="3" width="9.33203125" style="1" customWidth="1"/>
    <col min="4" max="4" width="34.83203125" style="1" customWidth="1"/>
    <col min="5" max="5" width="20.33203125" style="1" customWidth="1"/>
    <col min="6" max="6" width="14.1640625" style="1" customWidth="1"/>
    <col min="7" max="7" width="27.5" style="1" customWidth="1"/>
    <col min="8" max="8" width="2.5" style="1" customWidth="1"/>
    <col min="9" max="9" width="30.6640625" style="1" customWidth="1"/>
    <col min="10" max="10" width="10.83203125" style="1"/>
    <col min="11" max="11" width="12.83203125" style="1" customWidth="1"/>
    <col min="12" max="12" width="12.6640625" style="1" customWidth="1"/>
    <col min="13" max="16" width="20.5" style="1" customWidth="1"/>
    <col min="17" max="17" width="24.6640625" style="1" customWidth="1"/>
    <col min="18" max="18" width="29.1640625" style="1" customWidth="1"/>
    <col min="19" max="19" width="13.5" style="1" customWidth="1"/>
    <col min="20" max="16384" width="10.83203125" style="1"/>
  </cols>
  <sheetData>
    <row r="1" spans="2:19" x14ac:dyDescent="0.2">
      <c r="B1" s="1" t="s">
        <v>0</v>
      </c>
      <c r="E1" s="6" t="s">
        <v>8</v>
      </c>
    </row>
    <row r="2" spans="2:19" x14ac:dyDescent="0.2">
      <c r="B2" s="1" t="s">
        <v>10</v>
      </c>
      <c r="E2" s="3" t="s">
        <v>6</v>
      </c>
    </row>
    <row r="3" spans="2:19" x14ac:dyDescent="0.2">
      <c r="B3" s="1" t="s">
        <v>74</v>
      </c>
      <c r="E3" s="18" t="s">
        <v>7</v>
      </c>
    </row>
    <row r="4" spans="2:19" x14ac:dyDescent="0.2">
      <c r="B4" s="1" t="s">
        <v>9</v>
      </c>
    </row>
    <row r="6" spans="2:19" ht="16" customHeight="1" x14ac:dyDescent="0.2">
      <c r="C6" s="39" t="s">
        <v>4</v>
      </c>
      <c r="D6" s="40"/>
      <c r="E6" s="43" t="s">
        <v>5</v>
      </c>
      <c r="F6" s="43"/>
      <c r="G6" s="44" t="s">
        <v>1</v>
      </c>
      <c r="L6" s="1" t="s">
        <v>58</v>
      </c>
      <c r="M6" s="1" t="s">
        <v>55</v>
      </c>
      <c r="N6" s="1" t="s">
        <v>57</v>
      </c>
      <c r="P6" s="1" t="s">
        <v>56</v>
      </c>
      <c r="Q6" s="1" t="s">
        <v>59</v>
      </c>
      <c r="R6" s="1" t="s">
        <v>60</v>
      </c>
      <c r="S6" s="1" t="s">
        <v>64</v>
      </c>
    </row>
    <row r="7" spans="2:19" ht="16" customHeight="1" x14ac:dyDescent="0.2">
      <c r="C7" s="41"/>
      <c r="D7" s="42"/>
      <c r="E7" s="4" t="s">
        <v>2</v>
      </c>
      <c r="F7" s="4" t="s">
        <v>3</v>
      </c>
      <c r="G7" s="44"/>
      <c r="J7" s="2"/>
      <c r="K7" s="2" t="s">
        <v>47</v>
      </c>
      <c r="L7" s="2" t="s">
        <v>50</v>
      </c>
      <c r="M7" s="2" t="s">
        <v>45</v>
      </c>
      <c r="N7" s="2" t="s">
        <v>52</v>
      </c>
      <c r="O7" s="2" t="s">
        <v>76</v>
      </c>
      <c r="P7" s="2" t="s">
        <v>35</v>
      </c>
      <c r="Q7" s="2" t="s">
        <v>53</v>
      </c>
      <c r="R7" s="2" t="s">
        <v>33</v>
      </c>
      <c r="S7" s="1" t="s">
        <v>33</v>
      </c>
    </row>
    <row r="8" spans="2:19" x14ac:dyDescent="0.2">
      <c r="C8" s="31" t="s">
        <v>12</v>
      </c>
      <c r="D8" s="32"/>
      <c r="E8" s="32"/>
      <c r="F8" s="32"/>
      <c r="G8" s="33"/>
      <c r="J8" s="2"/>
      <c r="K8" s="2"/>
      <c r="L8" s="2" t="s">
        <v>30</v>
      </c>
      <c r="M8" s="2" t="s">
        <v>46</v>
      </c>
      <c r="N8" s="2" t="s">
        <v>38</v>
      </c>
      <c r="O8" s="2" t="s">
        <v>40</v>
      </c>
      <c r="P8" s="2" t="s">
        <v>27</v>
      </c>
      <c r="Q8" s="2" t="s">
        <v>37</v>
      </c>
      <c r="R8" s="2" t="s">
        <v>39</v>
      </c>
      <c r="S8" s="1" t="s">
        <v>39</v>
      </c>
    </row>
    <row r="9" spans="2:19" x14ac:dyDescent="0.2">
      <c r="C9" s="34" t="s">
        <v>11</v>
      </c>
      <c r="D9" s="35"/>
      <c r="E9" s="12">
        <v>21.5</v>
      </c>
      <c r="F9" s="7"/>
      <c r="G9" s="2"/>
      <c r="J9" s="2"/>
      <c r="K9" s="2"/>
      <c r="L9" s="2" t="s">
        <v>54</v>
      </c>
      <c r="M9" s="2" t="s">
        <v>54</v>
      </c>
      <c r="N9" s="27" t="s">
        <v>61</v>
      </c>
      <c r="O9" s="27"/>
      <c r="P9" s="2" t="s">
        <v>54</v>
      </c>
      <c r="Q9" s="27" t="s">
        <v>62</v>
      </c>
      <c r="R9" s="2" t="s">
        <v>63</v>
      </c>
      <c r="S9" s="1" t="s">
        <v>65</v>
      </c>
    </row>
    <row r="10" spans="2:19" x14ac:dyDescent="0.2">
      <c r="C10" s="34"/>
      <c r="D10" s="35"/>
      <c r="E10" s="15"/>
      <c r="F10" s="7"/>
      <c r="G10" s="2"/>
      <c r="J10" s="26" t="s">
        <v>67</v>
      </c>
      <c r="K10" s="26" t="s">
        <v>51</v>
      </c>
      <c r="L10" s="2">
        <v>0</v>
      </c>
      <c r="M10" s="2" t="s">
        <v>49</v>
      </c>
      <c r="N10" s="22">
        <f>982*(2*PI())/60</f>
        <v>102.83479952750591</v>
      </c>
      <c r="O10" s="22"/>
      <c r="P10" s="2"/>
      <c r="Q10" s="2"/>
      <c r="R10" s="2"/>
    </row>
    <row r="11" spans="2:19" x14ac:dyDescent="0.2">
      <c r="C11" s="31" t="s">
        <v>13</v>
      </c>
      <c r="D11" s="32"/>
      <c r="E11" s="32"/>
      <c r="F11" s="32"/>
      <c r="G11" s="33"/>
      <c r="J11" s="26" t="s">
        <v>66</v>
      </c>
      <c r="K11" s="26" t="s">
        <v>48</v>
      </c>
      <c r="L11" s="2">
        <v>0</v>
      </c>
      <c r="M11" s="2" t="s">
        <v>49</v>
      </c>
      <c r="N11" s="22">
        <f>770*(2*PI())/60</f>
        <v>80.634211442138024</v>
      </c>
      <c r="O11" s="22">
        <f>N11*60/(2*PI())</f>
        <v>770.00000000000011</v>
      </c>
      <c r="P11" s="2"/>
      <c r="Q11" s="2">
        <v>0</v>
      </c>
      <c r="R11" s="2"/>
    </row>
    <row r="12" spans="2:19" x14ac:dyDescent="0.2">
      <c r="C12" s="8" t="s">
        <v>14</v>
      </c>
      <c r="D12" s="9"/>
      <c r="E12" s="16">
        <v>5.36</v>
      </c>
      <c r="F12" s="7" t="s">
        <v>15</v>
      </c>
      <c r="G12" s="2"/>
      <c r="J12" s="2" t="s">
        <v>41</v>
      </c>
      <c r="K12" s="2" t="s">
        <v>48</v>
      </c>
      <c r="L12" s="3">
        <v>0.17499999999999999</v>
      </c>
      <c r="M12" s="3">
        <v>0.20100000000000001</v>
      </c>
      <c r="N12" s="15">
        <f>V_lift*2/D_shaft</f>
        <v>74.444444444444443</v>
      </c>
      <c r="O12" s="22">
        <f t="shared" ref="O12:O14" si="0">N12*60/(2*PI())</f>
        <v>710.89207914379926</v>
      </c>
      <c r="P12" s="3">
        <v>5.4000000000000003E-3</v>
      </c>
      <c r="Q12" s="21">
        <f>M_hang*9.8*D_shaft/2</f>
        <v>4.6305000000000001E-3</v>
      </c>
      <c r="R12" s="22">
        <f>Torque_Shaft*Omega_radpsec</f>
        <v>0.34471499999999999</v>
      </c>
      <c r="S12" s="1">
        <f>V_lift*M_hang*9.8</f>
        <v>0.34471499999999999</v>
      </c>
    </row>
    <row r="13" spans="2:19" x14ac:dyDescent="0.2">
      <c r="C13" s="8" t="s">
        <v>16</v>
      </c>
      <c r="D13" s="9"/>
      <c r="E13" s="16">
        <v>31.7</v>
      </c>
      <c r="F13" s="7" t="s">
        <v>15</v>
      </c>
      <c r="G13" s="2"/>
      <c r="J13" s="2" t="s">
        <v>42</v>
      </c>
      <c r="K13" s="2" t="s">
        <v>48</v>
      </c>
      <c r="L13" s="3">
        <v>1.175</v>
      </c>
      <c r="M13" s="3">
        <v>0.185</v>
      </c>
      <c r="N13" s="15">
        <f>M13*2/P13</f>
        <v>68.518518518518519</v>
      </c>
      <c r="O13" s="22">
        <f t="shared" si="0"/>
        <v>654.3036549333475</v>
      </c>
      <c r="P13" s="3">
        <v>5.4000000000000003E-3</v>
      </c>
      <c r="Q13" s="21">
        <f>L13*9.8*P13/2</f>
        <v>3.1090500000000004E-2</v>
      </c>
      <c r="R13" s="22">
        <f>Q13*N13</f>
        <v>2.1302750000000001</v>
      </c>
      <c r="S13" s="1">
        <f>M13*L13*9.8</f>
        <v>2.1302750000000001</v>
      </c>
    </row>
    <row r="14" spans="2:19" x14ac:dyDescent="0.2">
      <c r="C14" s="11" t="s">
        <v>17</v>
      </c>
      <c r="D14" s="10"/>
      <c r="E14" s="17">
        <f>E13/(E12/2)</f>
        <v>11.828358208955223</v>
      </c>
      <c r="F14" s="7"/>
      <c r="G14" s="2"/>
      <c r="J14" s="2" t="s">
        <v>44</v>
      </c>
      <c r="K14" s="2" t="s">
        <v>48</v>
      </c>
      <c r="L14" s="3">
        <v>2.1349999999999998</v>
      </c>
      <c r="M14" s="3">
        <v>0.16900000000000001</v>
      </c>
      <c r="N14" s="15">
        <f>M14*2/P14</f>
        <v>62.592592592592595</v>
      </c>
      <c r="O14" s="22">
        <f t="shared" si="0"/>
        <v>597.71523072289585</v>
      </c>
      <c r="P14" s="3">
        <v>5.4000000000000003E-3</v>
      </c>
      <c r="Q14" s="21">
        <f>L14*9.8*P14/2</f>
        <v>5.6492099999999996E-2</v>
      </c>
      <c r="R14" s="22">
        <f>Q14*N14</f>
        <v>3.535987</v>
      </c>
      <c r="S14" s="1">
        <f>M14*L14*9.8</f>
        <v>3.5359870000000004</v>
      </c>
    </row>
    <row r="15" spans="2:19" x14ac:dyDescent="0.2">
      <c r="C15" s="36" t="s">
        <v>21</v>
      </c>
      <c r="D15" s="37"/>
      <c r="E15" s="37"/>
      <c r="F15" s="37"/>
      <c r="G15" s="38"/>
    </row>
    <row r="16" spans="2:19" x14ac:dyDescent="0.2">
      <c r="C16" s="31" t="s">
        <v>20</v>
      </c>
      <c r="D16" s="32"/>
      <c r="E16" s="32"/>
      <c r="F16" s="32"/>
      <c r="G16" s="33"/>
    </row>
    <row r="17" spans="3:13" x14ac:dyDescent="0.2">
      <c r="C17" s="8" t="s">
        <v>18</v>
      </c>
      <c r="D17" s="9"/>
      <c r="E17" s="16">
        <v>4.57</v>
      </c>
      <c r="F17" s="7" t="s">
        <v>15</v>
      </c>
      <c r="G17" s="2"/>
      <c r="K17" s="2"/>
      <c r="L17" s="2" t="s">
        <v>68</v>
      </c>
      <c r="M17" s="2" t="s">
        <v>69</v>
      </c>
    </row>
    <row r="18" spans="3:13" x14ac:dyDescent="0.2">
      <c r="C18" s="11" t="s">
        <v>14</v>
      </c>
      <c r="D18" s="10"/>
      <c r="E18" s="16">
        <v>5.36</v>
      </c>
      <c r="F18" s="7" t="s">
        <v>15</v>
      </c>
      <c r="G18" s="2"/>
      <c r="K18" s="2"/>
      <c r="L18" s="2" t="s">
        <v>40</v>
      </c>
      <c r="M18" s="2" t="s">
        <v>40</v>
      </c>
    </row>
    <row r="19" spans="3:13" x14ac:dyDescent="0.2">
      <c r="C19" s="11" t="s">
        <v>16</v>
      </c>
      <c r="D19" s="10"/>
      <c r="E19" s="16">
        <v>31.7</v>
      </c>
      <c r="F19" s="7" t="s">
        <v>15</v>
      </c>
      <c r="G19" s="2"/>
      <c r="K19" s="26" t="s">
        <v>51</v>
      </c>
      <c r="L19" s="2">
        <v>1140</v>
      </c>
      <c r="M19" s="2">
        <v>1150</v>
      </c>
    </row>
    <row r="20" spans="3:13" x14ac:dyDescent="0.2">
      <c r="C20" s="11" t="s">
        <v>19</v>
      </c>
      <c r="D20" s="10"/>
      <c r="E20" s="17">
        <f>(PI()*E19)/(E17)</f>
        <v>21.791791492077994</v>
      </c>
      <c r="F20" s="7"/>
      <c r="G20" s="2"/>
      <c r="K20" s="26" t="s">
        <v>48</v>
      </c>
      <c r="L20" s="2">
        <v>720</v>
      </c>
      <c r="M20" s="2">
        <v>770</v>
      </c>
    </row>
    <row r="21" spans="3:13" x14ac:dyDescent="0.2">
      <c r="C21" s="36" t="s">
        <v>22</v>
      </c>
      <c r="D21" s="37"/>
      <c r="E21" s="37"/>
      <c r="F21" s="37"/>
      <c r="G21" s="38"/>
      <c r="K21" s="26" t="s">
        <v>48</v>
      </c>
      <c r="L21" s="2">
        <v>780</v>
      </c>
      <c r="M21" s="2"/>
    </row>
    <row r="22" spans="3:13" x14ac:dyDescent="0.2">
      <c r="C22" s="31" t="s">
        <v>23</v>
      </c>
      <c r="D22" s="32"/>
      <c r="E22" s="32"/>
      <c r="F22" s="32"/>
      <c r="G22" s="33"/>
    </row>
    <row r="23" spans="3:13" x14ac:dyDescent="0.2">
      <c r="C23" s="34" t="s">
        <v>24</v>
      </c>
      <c r="D23" s="35"/>
      <c r="E23" s="12">
        <v>31.5</v>
      </c>
      <c r="F23" s="7" t="s">
        <v>15</v>
      </c>
      <c r="G23" s="2"/>
    </row>
    <row r="24" spans="3:13" x14ac:dyDescent="0.2">
      <c r="C24" s="13"/>
      <c r="D24" s="14"/>
      <c r="E24" s="15">
        <f>E23/1000</f>
        <v>3.15E-2</v>
      </c>
      <c r="F24" s="7" t="s">
        <v>27</v>
      </c>
      <c r="G24" s="2"/>
    </row>
    <row r="25" spans="3:13" x14ac:dyDescent="0.2">
      <c r="C25" s="34" t="s">
        <v>25</v>
      </c>
      <c r="D25" s="35"/>
      <c r="E25" s="12">
        <v>28.9</v>
      </c>
      <c r="F25" s="7" t="s">
        <v>15</v>
      </c>
      <c r="G25" s="2"/>
    </row>
    <row r="26" spans="3:13" x14ac:dyDescent="0.2">
      <c r="C26" s="13"/>
      <c r="D26" s="14"/>
      <c r="E26" s="15">
        <f>E25/1000</f>
        <v>2.8899999999999999E-2</v>
      </c>
      <c r="F26" s="7" t="s">
        <v>27</v>
      </c>
      <c r="G26" s="2"/>
    </row>
    <row r="27" spans="3:13" x14ac:dyDescent="0.2">
      <c r="C27" s="13" t="s">
        <v>70</v>
      </c>
      <c r="D27" s="14"/>
      <c r="E27" s="21">
        <f>PI()*Rotor_Dout*Rotor_Lcrit</f>
        <v>2.8599488721954684E-3</v>
      </c>
      <c r="F27" s="7" t="s">
        <v>71</v>
      </c>
      <c r="G27" s="2"/>
    </row>
    <row r="28" spans="3:13" x14ac:dyDescent="0.2">
      <c r="C28" s="13" t="s">
        <v>43</v>
      </c>
      <c r="D28" s="14"/>
      <c r="E28" s="16">
        <v>250</v>
      </c>
      <c r="F28" s="7" t="s">
        <v>26</v>
      </c>
      <c r="G28" s="2"/>
    </row>
    <row r="29" spans="3:13" x14ac:dyDescent="0.2">
      <c r="C29" s="11" t="s">
        <v>75</v>
      </c>
      <c r="D29" s="29"/>
      <c r="E29" s="16">
        <v>80</v>
      </c>
      <c r="F29" s="7" t="s">
        <v>38</v>
      </c>
      <c r="G29" s="2"/>
    </row>
    <row r="30" spans="3:13" x14ac:dyDescent="0.2">
      <c r="C30" s="11" t="s">
        <v>78</v>
      </c>
      <c r="D30" s="10"/>
      <c r="E30" s="28">
        <f>Unit_power/(Rotor_Asurf*(Rotor_Dout/2)*Omega_free)</f>
        <v>69376.309605277987</v>
      </c>
      <c r="F30" s="7" t="s">
        <v>73</v>
      </c>
      <c r="G30" s="30" t="s">
        <v>77</v>
      </c>
    </row>
    <row r="31" spans="3:13" x14ac:dyDescent="0.2">
      <c r="C31" s="11"/>
      <c r="D31" s="10"/>
      <c r="E31" s="23">
        <f>E30/1000000</f>
        <v>6.9376309605277992E-2</v>
      </c>
      <c r="F31" s="7" t="s">
        <v>72</v>
      </c>
      <c r="G31" s="2"/>
    </row>
    <row r="32" spans="3:13" x14ac:dyDescent="0.2">
      <c r="C32" s="36"/>
      <c r="D32" s="37"/>
      <c r="E32" s="37"/>
      <c r="F32" s="37"/>
      <c r="G32" s="38"/>
    </row>
    <row r="33" spans="1:7" x14ac:dyDescent="0.2">
      <c r="C33" s="31" t="s">
        <v>28</v>
      </c>
      <c r="D33" s="32"/>
      <c r="E33" s="32"/>
      <c r="F33" s="32"/>
      <c r="G33" s="33"/>
    </row>
    <row r="34" spans="1:7" ht="16" customHeight="1" x14ac:dyDescent="0.2">
      <c r="C34" s="13" t="s">
        <v>29</v>
      </c>
      <c r="D34" s="14"/>
      <c r="E34" s="19">
        <v>2.1349999999999998</v>
      </c>
      <c r="F34" s="7" t="s">
        <v>30</v>
      </c>
      <c r="G34" s="2"/>
    </row>
    <row r="35" spans="1:7" ht="16" customHeight="1" x14ac:dyDescent="0.2">
      <c r="C35" s="11" t="s">
        <v>31</v>
      </c>
      <c r="D35" s="10"/>
      <c r="E35" s="16">
        <v>0.16900000000000001</v>
      </c>
      <c r="F35" s="7" t="s">
        <v>32</v>
      </c>
      <c r="G35" s="2"/>
    </row>
    <row r="36" spans="1:7" ht="16" customHeight="1" x14ac:dyDescent="0.2">
      <c r="C36" s="11" t="s">
        <v>35</v>
      </c>
      <c r="D36" s="10"/>
      <c r="E36" s="20">
        <v>5.4000000000000003E-3</v>
      </c>
      <c r="F36" s="7" t="s">
        <v>27</v>
      </c>
      <c r="G36" s="2"/>
    </row>
    <row r="37" spans="1:7" ht="16" customHeight="1" x14ac:dyDescent="0.2">
      <c r="C37" s="11" t="s">
        <v>36</v>
      </c>
      <c r="D37" s="10"/>
      <c r="E37" s="24">
        <f>Mass*9.8*Diam_shaft/2</f>
        <v>5.6492099999999996E-2</v>
      </c>
      <c r="F37" s="7" t="s">
        <v>37</v>
      </c>
      <c r="G37" s="2"/>
    </row>
    <row r="38" spans="1:7" x14ac:dyDescent="0.2">
      <c r="C38" s="11" t="s">
        <v>34</v>
      </c>
      <c r="D38" s="10"/>
      <c r="E38" s="23">
        <f>Mass*9.8*Vel_vert</f>
        <v>3.535987</v>
      </c>
      <c r="F38" s="7" t="s">
        <v>26</v>
      </c>
      <c r="G38" s="2"/>
    </row>
    <row r="39" spans="1:7" x14ac:dyDescent="0.2">
      <c r="E39" s="25"/>
    </row>
    <row r="45" spans="1:7" x14ac:dyDescent="0.2">
      <c r="A45" s="5"/>
    </row>
    <row r="46" spans="1:7" x14ac:dyDescent="0.2">
      <c r="A46" s="5"/>
    </row>
    <row r="47" spans="1:7" x14ac:dyDescent="0.2">
      <c r="A47" s="5"/>
    </row>
    <row r="48" spans="1:7" x14ac:dyDescent="0.2">
      <c r="A48" s="5"/>
    </row>
    <row r="49" spans="1:1" x14ac:dyDescent="0.2">
      <c r="A49" s="5"/>
    </row>
  </sheetData>
  <mergeCells count="15">
    <mergeCell ref="C16:G16"/>
    <mergeCell ref="C11:G11"/>
    <mergeCell ref="C15:G15"/>
    <mergeCell ref="C21:G21"/>
    <mergeCell ref="C6:D7"/>
    <mergeCell ref="E6:F6"/>
    <mergeCell ref="G6:G7"/>
    <mergeCell ref="C8:G8"/>
    <mergeCell ref="C10:D10"/>
    <mergeCell ref="C9:D9"/>
    <mergeCell ref="C33:G33"/>
    <mergeCell ref="C22:G22"/>
    <mergeCell ref="C23:D23"/>
    <mergeCell ref="C25:D25"/>
    <mergeCell ref="C32:G32"/>
  </mergeCells>
  <hyperlinks>
    <hyperlink ref="G30" r:id="rId1" xr:uid="{B72AA786-13A8-0440-8375-8A34F956C051}"/>
  </hyperlinks>
  <pageMargins left="0.75" right="0.75" top="1" bottom="1" header="0.5" footer="0.5"/>
  <pageSetup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Transmission Ratio</vt:lpstr>
      <vt:lpstr>D_shaft</vt:lpstr>
      <vt:lpstr>Diam_shaft</vt:lpstr>
      <vt:lpstr>M_hang</vt:lpstr>
      <vt:lpstr>Mass</vt:lpstr>
      <vt:lpstr>Omega_free</vt:lpstr>
      <vt:lpstr>Omega_radpsec</vt:lpstr>
      <vt:lpstr>Rotor_Asurf</vt:lpstr>
      <vt:lpstr>Rotor_Dout</vt:lpstr>
      <vt:lpstr>Rotor_Lcrit</vt:lpstr>
      <vt:lpstr>Torque_Shaft</vt:lpstr>
      <vt:lpstr>Unit_power</vt:lpstr>
      <vt:lpstr>V_lift</vt:lpstr>
      <vt:lpstr>Vel_vert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Folkers Rojas</dc:creator>
  <cp:lastModifiedBy>Microsoft Office User</cp:lastModifiedBy>
  <dcterms:created xsi:type="dcterms:W3CDTF">2015-08-14T19:15:03Z</dcterms:created>
  <dcterms:modified xsi:type="dcterms:W3CDTF">2020-08-06T08:58:43Z</dcterms:modified>
</cp:coreProperties>
</file>